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2E0\"/>
    </mc:Choice>
  </mc:AlternateContent>
  <bookViews>
    <workbookView xWindow="0" yWindow="0" windowWidth="19305" windowHeight="8085"/>
  </bookViews>
  <sheets>
    <sheet name="CT22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1" l="1"/>
  <c r="X24" i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AA21" i="1" l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B8" i="1" s="1"/>
  <c r="AA7" i="1"/>
  <c r="AA6" i="1"/>
  <c r="AA5" i="1"/>
  <c r="AA4" i="1"/>
  <c r="AB4" i="1" s="1"/>
  <c r="AA3" i="1"/>
  <c r="AA2" i="1"/>
  <c r="AE9" i="1"/>
  <c r="AB2" i="1" l="1"/>
  <c r="AB6" i="1"/>
  <c r="AB10" i="1"/>
  <c r="AB14" i="1"/>
  <c r="AB18" i="1"/>
  <c r="AB3" i="1"/>
  <c r="AB7" i="1"/>
  <c r="AB11" i="1"/>
  <c r="AB15" i="1"/>
  <c r="AB19" i="1"/>
  <c r="AB12" i="1"/>
  <c r="AB16" i="1"/>
  <c r="AB20" i="1"/>
  <c r="AB5" i="1"/>
  <c r="AB9" i="1"/>
  <c r="AB13" i="1"/>
  <c r="AB17" i="1"/>
  <c r="AB21" i="1"/>
  <c r="AE3" i="1"/>
  <c r="I17" i="1" l="1"/>
  <c r="K17" i="1" s="1"/>
  <c r="I18" i="1"/>
  <c r="K18" i="1" s="1"/>
  <c r="I19" i="1"/>
  <c r="K19" i="1" s="1"/>
  <c r="I20" i="1"/>
  <c r="K20" i="1" s="1"/>
  <c r="I21" i="1"/>
  <c r="K21" i="1" s="1"/>
  <c r="G17" i="1"/>
  <c r="G18" i="1"/>
  <c r="G19" i="1"/>
  <c r="M19" i="1" s="1"/>
  <c r="X19" i="1" s="1"/>
  <c r="G20" i="1"/>
  <c r="M20" i="1" s="1"/>
  <c r="X20" i="1" s="1"/>
  <c r="G21" i="1"/>
  <c r="M21" i="1" l="1"/>
  <c r="X21" i="1" s="1"/>
  <c r="M17" i="1"/>
  <c r="X17" i="1" s="1"/>
  <c r="T20" i="1"/>
  <c r="O20" i="1"/>
  <c r="Q20" i="1" s="1"/>
  <c r="T19" i="1"/>
  <c r="O19" i="1"/>
  <c r="Q19" i="1" s="1"/>
  <c r="M18" i="1"/>
  <c r="X18" i="1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O17" i="1" l="1"/>
  <c r="Q17" i="1" s="1"/>
  <c r="O21" i="1"/>
  <c r="Q21" i="1" s="1"/>
  <c r="T21" i="1"/>
  <c r="T17" i="1"/>
  <c r="T18" i="1"/>
  <c r="O18" i="1"/>
  <c r="Q18" i="1" s="1"/>
  <c r="AC20" i="1"/>
  <c r="AC21" i="1"/>
  <c r="AC17" i="1"/>
  <c r="AC19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C18" i="1" l="1"/>
  <c r="K16" i="1"/>
  <c r="K12" i="1"/>
  <c r="K2" i="1"/>
  <c r="K15" i="1"/>
  <c r="K3" i="1"/>
  <c r="K14" i="1"/>
  <c r="K22" i="1"/>
  <c r="K13" i="1"/>
  <c r="K9" i="1"/>
  <c r="M22" i="1" l="1"/>
  <c r="M2" i="1"/>
  <c r="X2" i="1" s="1"/>
  <c r="M14" i="1"/>
  <c r="X14" i="1" s="1"/>
  <c r="M12" i="1"/>
  <c r="X12" i="1" s="1"/>
  <c r="AC12" i="1" s="1"/>
  <c r="M9" i="1"/>
  <c r="X9" i="1" s="1"/>
  <c r="AC9" i="1" s="1"/>
  <c r="M3" i="1"/>
  <c r="X3" i="1" s="1"/>
  <c r="M16" i="1"/>
  <c r="X16" i="1" s="1"/>
  <c r="M13" i="1"/>
  <c r="X13" i="1" s="1"/>
  <c r="M15" i="1"/>
  <c r="X15" i="1" s="1"/>
  <c r="AC15" i="1" s="1"/>
  <c r="K6" i="1"/>
  <c r="K7" i="1"/>
  <c r="K4" i="1"/>
  <c r="K5" i="1"/>
  <c r="K10" i="1"/>
  <c r="K11" i="1"/>
  <c r="K8" i="1"/>
  <c r="M8" i="1" l="1"/>
  <c r="X8" i="1" s="1"/>
  <c r="M4" i="1"/>
  <c r="X4" i="1" s="1"/>
  <c r="O3" i="1"/>
  <c r="Q3" i="1" s="1"/>
  <c r="T3" i="1"/>
  <c r="O2" i="1"/>
  <c r="Q2" i="1" s="1"/>
  <c r="T2" i="1"/>
  <c r="V3" i="1" s="1"/>
  <c r="M11" i="1"/>
  <c r="X11" i="1" s="1"/>
  <c r="M7" i="1"/>
  <c r="X7" i="1" s="1"/>
  <c r="AC13" i="1"/>
  <c r="T16" i="1"/>
  <c r="O16" i="1"/>
  <c r="Q16" i="1" s="1"/>
  <c r="T14" i="1"/>
  <c r="O14" i="1"/>
  <c r="M10" i="1"/>
  <c r="X10" i="1" s="1"/>
  <c r="M6" i="1"/>
  <c r="X6" i="1" s="1"/>
  <c r="T13" i="1"/>
  <c r="O13" i="1"/>
  <c r="Q13" i="1"/>
  <c r="T12" i="1"/>
  <c r="O12" i="1"/>
  <c r="Q12" i="1"/>
  <c r="M5" i="1"/>
  <c r="X5" i="1" s="1"/>
  <c r="T15" i="1"/>
  <c r="O15" i="1"/>
  <c r="T9" i="1"/>
  <c r="O9" i="1"/>
  <c r="Q9" i="1" s="1"/>
  <c r="O22" i="1"/>
  <c r="Q22" i="1"/>
  <c r="AC11" i="1"/>
  <c r="V2" i="1" l="1"/>
  <c r="AC16" i="1"/>
  <c r="T7" i="1"/>
  <c r="O7" i="1"/>
  <c r="Q7" i="1" s="1"/>
  <c r="AC2" i="1"/>
  <c r="T10" i="1"/>
  <c r="O10" i="1"/>
  <c r="T8" i="1"/>
  <c r="O8" i="1"/>
  <c r="Q8" i="1" s="1"/>
  <c r="AC6" i="1"/>
  <c r="AC4" i="1"/>
  <c r="AC5" i="1"/>
  <c r="AC14" i="1"/>
  <c r="T5" i="1"/>
  <c r="V15" i="1" s="1"/>
  <c r="O5" i="1"/>
  <c r="Q5" i="1" s="1"/>
  <c r="T6" i="1"/>
  <c r="O6" i="1"/>
  <c r="Q6" i="1"/>
  <c r="AC7" i="1"/>
  <c r="T4" i="1"/>
  <c r="O4" i="1"/>
  <c r="Q15" i="1"/>
  <c r="AC3" i="1"/>
  <c r="Q14" i="1"/>
  <c r="T11" i="1"/>
  <c r="O11" i="1"/>
  <c r="V19" i="1" l="1"/>
  <c r="V14" i="1"/>
  <c r="V10" i="1"/>
  <c r="V17" i="1"/>
  <c r="V11" i="1"/>
  <c r="AC10" i="1"/>
  <c r="V6" i="1"/>
  <c r="V18" i="1"/>
  <c r="V21" i="1"/>
  <c r="AC8" i="1"/>
  <c r="V4" i="1"/>
  <c r="V5" i="1"/>
  <c r="V13" i="1"/>
  <c r="V9" i="1"/>
  <c r="V8" i="1"/>
  <c r="V20" i="1"/>
  <c r="Q11" i="1"/>
  <c r="V16" i="1"/>
  <c r="V12" i="1"/>
  <c r="V7" i="1"/>
  <c r="Q4" i="1"/>
  <c r="Q10" i="1"/>
  <c r="AC24" i="1" l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<sst xmlns="http://schemas.openxmlformats.org/spreadsheetml/2006/main" count="55" uniqueCount="55">
  <si>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</si>
  <si>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</si>
  <si>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</si>
  <si>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</si>
  <si>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</si>
  <si>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</si>
  <si>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</si>
  <si>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</si>
  <si>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</si>
  <si>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</si>
  <si>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</si>
  <si>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</si>
  <si>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CT22E 1 mL</t>
  </si>
  <si>
    <t>CT22E 2 mL</t>
  </si>
  <si>
    <t>CT22E 3 mL</t>
  </si>
  <si>
    <t>CT22E 4 mL</t>
  </si>
  <si>
    <t>CT22E 5 mL</t>
  </si>
  <si>
    <t>CT22E 6 mL</t>
  </si>
  <si>
    <t>CT22E 7 mL</t>
  </si>
  <si>
    <t>CT22E 8 mL</t>
  </si>
  <si>
    <t>CT22E 9 mL</t>
  </si>
  <si>
    <t>CT22E 10 mL</t>
  </si>
  <si>
    <t>CT22E 11 mL</t>
  </si>
  <si>
    <t>CT22E 12 mL</t>
  </si>
  <si>
    <t>CT22E 13 mL</t>
  </si>
  <si>
    <t>CT22E 14 mL</t>
  </si>
  <si>
    <t>CT22E 15 mL</t>
  </si>
  <si>
    <t>CT22E 16 mL</t>
  </si>
  <si>
    <t>CT22E 17 mL</t>
  </si>
  <si>
    <t>CT22E 18 mL</t>
  </si>
  <si>
    <t>CT22E 19 mL</t>
  </si>
  <si>
    <t>CT22E 20 mL</t>
  </si>
  <si>
    <t>5 ml/min</t>
  </si>
  <si>
    <t>Weight of eluate (g)</t>
  </si>
  <si>
    <t>Weight Corrected Sr-90 Activity (DPM)</t>
  </si>
  <si>
    <t>Cumulative Activity (DPM)</t>
  </si>
  <si>
    <t>Decay constant of sr-90=</t>
  </si>
  <si>
    <t>DPS</t>
  </si>
  <si>
    <t>Time from 19.07.2018</t>
  </si>
  <si>
    <t>DC factor</t>
  </si>
  <si>
    <t>DC to 31.07.2018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</si>
  <si>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</si>
  <si>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</si>
  <si>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</si>
  <si>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</si>
  <si>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</si>
  <si>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</si>
  <si>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</si>
  <si>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</si>
  <si>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</si>
  <si>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</si>
  <si>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 σ</t>
  </si>
  <si>
    <t>Activity (Bq) σ ^2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</si>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</sst>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0" xfId="0" applyFill="1"/>
    <xf numFmtId="166" fontId="0" fillId="2" borderId="3" xfId="0" applyNumberFormat="1" applyFill="1" applyBorder="1"/>
    <xf numFmtId="166" fontId="0" fillId="2" borderId="1" xfId="0" applyNumberFormat="1" applyFill="1" applyBorder="1"/>
    <xf numFmtId="0" fontId="0" fillId="0" borderId="1" xfId="0" applyBorder="1"/>
    <xf numFmtId="0" fontId="1" fillId="0" borderId="0" xfId="0" applyFont="1"/>
    <xf numFmtId="0" fontId="0" fillId="3" borderId="0" xfId="0" applyFill="1"/>
    <xf numFmtId="22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2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80" zoomScaleNormal="80" workbookViewId="0">
      <selection activeCell="E33" sqref="E3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17.5703125" bestFit="1" customWidth="1"/>
    <col min="5" max="6" width="17.5703125" style="5" customWidth="1"/>
    <col min="7" max="7" width="31.5703125" bestFit="1" customWidth="1"/>
    <col min="8" max="8" width="31.5703125" customWidth="1"/>
    <col min="9" max="9" width="20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9" bestFit="1" customWidth="1"/>
    <col min="19" max="19" width="19" customWidth="1"/>
    <col min="20" max="20" width="35.42578125" bestFit="1" customWidth="1"/>
    <col min="21" max="21" width="35.42578125" customWidth="1"/>
    <col min="22" max="22" width="24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7" t="s">
        <v>3</v>
      </c>
      <c r="B1" s="24" t="s">
        <v>5</v>
      </c>
      <c r="C1" s="22" t="s">
        <v>4</v>
      </c>
      <c r="D1" s="22" t="s">
        <v>0</v>
      </c>
      <c r="E1" s="2" t="s">
        <v>41</v>
      </c>
      <c r="F1" s="2" t="s">
        <v>42</v>
      </c>
      <c r="G1" s="22" t="s">
        <v>10</v>
      </c>
      <c r="H1" s="2" t="s">
        <v>43</v>
      </c>
      <c r="I1" s="22" t="s">
        <v>1</v>
      </c>
      <c r="J1" s="2" t="s">
        <v>44</v>
      </c>
      <c r="K1" s="22" t="s">
        <v>6</v>
      </c>
      <c r="L1" s="2" t="s">
        <v>45</v>
      </c>
      <c r="M1" s="22" t="s">
        <v>7</v>
      </c>
      <c r="N1" s="2" t="s">
        <v>46</v>
      </c>
      <c r="O1" s="22" t="s">
        <v>8</v>
      </c>
      <c r="P1" s="2" t="s">
        <v>47</v>
      </c>
      <c r="Q1" s="22" t="s">
        <v>9</v>
      </c>
      <c r="R1" s="22" t="s">
        <v>33</v>
      </c>
      <c r="S1" s="2" t="s">
        <v>48</v>
      </c>
      <c r="T1" s="22" t="s">
        <v>34</v>
      </c>
      <c r="U1" s="2" t="s">
        <v>49</v>
      </c>
      <c r="V1" s="22" t="s">
        <v>35</v>
      </c>
      <c r="W1" s="2" t="s">
        <v>50</v>
      </c>
      <c r="X1" s="22" t="s">
        <v>37</v>
      </c>
      <c r="Y1" s="2" t="s">
        <v>51</v>
      </c>
      <c r="Z1" s="2" t="s">
        <v>52</v>
      </c>
      <c r="AA1" s="22" t="s">
        <v>38</v>
      </c>
      <c r="AB1" s="22" t="s">
        <v>39</v>
      </c>
      <c r="AC1" s="23" t="s">
        <v>40</v>
      </c>
    </row>
    <row r="2" spans="1:31" x14ac:dyDescent="0.25">
      <c r="A2" s="28" t="s">
        <v>12</v>
      </c>
      <c r="B2" s="25">
        <v>43319.458333333336</v>
      </c>
      <c r="C2" s="17">
        <v>43320.111805555556</v>
      </c>
      <c r="D2" s="18">
        <v>12.11</v>
      </c>
      <c r="E2" s="19">
        <v>5.24</v>
      </c>
      <c r="F2" s="3">
        <f>D2*(E2/100)</f>
        <v>0.63456400000000002</v>
      </c>
      <c r="G2" s="16">
        <f t="shared" ref="G2:G22" si="0">D2-$D$22</f>
        <v>4.7099999999999991</v>
      </c>
      <c r="H2" s="3">
        <f>SQRT((F2^2)+(F$17^2))</f>
        <v>0.79126405065376249</v>
      </c>
      <c r="I2" s="20">
        <f>(C2-B2)*24</f>
        <v>15.683333333290648</v>
      </c>
      <c r="J2" s="6">
        <f>1/60</f>
        <v>1.6666666666666666E-2</v>
      </c>
      <c r="K2" s="16">
        <f>1-EXP(-$AE$3*I2)</f>
        <v>0.16226194353594381</v>
      </c>
      <c r="L2" s="3">
        <f>K2*SQRT(((J2/I2)^2))</f>
        <v>1.7243564669116413E-4</v>
      </c>
      <c r="M2" s="16">
        <f>G2/((1+K2))</f>
        <v>4.052442761457705</v>
      </c>
      <c r="N2" s="3">
        <f t="shared" ref="N2:N22" si="1">M2*SQRT(((H2/G2)^2)+((L2/K2)^2))</f>
        <v>0.68081028205200844</v>
      </c>
      <c r="O2" s="16">
        <f>M2*K2</f>
        <v>0.65755723854229431</v>
      </c>
      <c r="P2" s="3">
        <f t="shared" ref="P2:P22" si="2">O2*SQRT(((N2/M2)^2)+((L2/K2)^2))</f>
        <v>0.1104718096390834</v>
      </c>
      <c r="Q2" s="16">
        <f>M2+O2</f>
        <v>4.7099999999999991</v>
      </c>
      <c r="R2" s="16">
        <v>0.73899999999999988</v>
      </c>
      <c r="S2" s="3">
        <v>1.4142135623730951E-4</v>
      </c>
      <c r="T2" s="16">
        <f>M2/R2</f>
        <v>5.4836843862756508</v>
      </c>
      <c r="U2" s="3">
        <f>T2*SQRT(((S2/R2)^2)+((N2/M2)^2))</f>
        <v>0.92125943672952004</v>
      </c>
      <c r="V2" s="16">
        <f>SUM($T$2:T2)</f>
        <v>5.4836843862756508</v>
      </c>
      <c r="W2" s="3">
        <f>SQRT((U2^2))</f>
        <v>0.92125943672952004</v>
      </c>
      <c r="X2" s="16">
        <f>M2/60</f>
        <v>6.7540712690961749E-2</v>
      </c>
      <c r="Y2" s="3">
        <f>X2*SQRT(((N2/M2)^2))</f>
        <v>1.1346838034200141E-2</v>
      </c>
      <c r="Z2" s="3">
        <f>Y2^2</f>
        <v>1.287507333743709E-4</v>
      </c>
      <c r="AA2" s="16">
        <f>(C2-$AE$6)*24</f>
        <v>182.68333333334886</v>
      </c>
      <c r="AB2" s="21">
        <f>EXP(-$AE$9*AA2)</f>
        <v>0.99949821368804226</v>
      </c>
      <c r="AC2" s="16">
        <f>X2/AB2</f>
        <v>6.7574620710670094E-2</v>
      </c>
      <c r="AE2" t="s">
        <v>2</v>
      </c>
    </row>
    <row r="3" spans="1:31" x14ac:dyDescent="0.25">
      <c r="A3" s="29" t="s">
        <v>13</v>
      </c>
      <c r="B3" s="26">
        <v>43319.458472222221</v>
      </c>
      <c r="C3" s="11">
        <v>43320.134722222225</v>
      </c>
      <c r="D3" s="12">
        <v>13.3</v>
      </c>
      <c r="E3" s="4">
        <v>4.08</v>
      </c>
      <c r="F3" s="4">
        <f t="shared" ref="F3:F22" si="3">D3*(E3/100)</f>
        <v>0.54264000000000012</v>
      </c>
      <c r="G3" s="8">
        <f t="shared" si="0"/>
        <v>5.9</v>
      </c>
      <c r="H3" s="4">
        <f>SQRT((F3^2)+(F$17^2))</f>
        <v>0.71964261780483796</v>
      </c>
      <c r="I3" s="14">
        <f t="shared" ref="I3:I21" si="4">(C3-B3)*24</f>
        <v>16.230000000097789</v>
      </c>
      <c r="J3" s="7">
        <f t="shared" ref="J3:J22" si="5">1/60</f>
        <v>1.6666666666666666E-2</v>
      </c>
      <c r="K3" s="8">
        <f>1-EXP(-$AE$3*I3)</f>
        <v>0.1674159923481563</v>
      </c>
      <c r="L3" s="4">
        <f t="shared" ref="L3:L22" si="6">K3*SQRT(((J3/I3)^2))</f>
        <v>1.7192030432034049E-4</v>
      </c>
      <c r="M3" s="8">
        <f>G3/((1+K3))</f>
        <v>5.0538968445452435</v>
      </c>
      <c r="N3" s="4">
        <f t="shared" si="1"/>
        <v>0.6164624492185139</v>
      </c>
      <c r="O3" s="8">
        <f>M3*K3</f>
        <v>0.84610315545475767</v>
      </c>
      <c r="P3" s="4">
        <f t="shared" si="2"/>
        <v>0.10320933002544866</v>
      </c>
      <c r="Q3" s="8">
        <f t="shared" ref="Q3:Q22" si="7">M3+O3</f>
        <v>5.9000000000000012</v>
      </c>
      <c r="R3" s="8">
        <v>1.0236000000000001</v>
      </c>
      <c r="S3" s="4">
        <v>1.4142135623730951E-4</v>
      </c>
      <c r="T3" s="8">
        <f>M3/R3</f>
        <v>4.9373747992821837</v>
      </c>
      <c r="U3" s="4">
        <f t="shared" ref="U3:U22" si="8">T3*SQRT(((S3/R3)^2)+((N3/M3)^2))</f>
        <v>0.60224975054993146</v>
      </c>
      <c r="V3" s="8">
        <f>SUM($T$2:T3)</f>
        <v>10.421059185557834</v>
      </c>
      <c r="W3" s="4">
        <f>SQRT((U3^2)+(U2^2))</f>
        <v>1.1006469514792867</v>
      </c>
      <c r="X3" s="8">
        <f t="shared" ref="X3:X21" si="9">M3/60</f>
        <v>8.4231614075754052E-2</v>
      </c>
      <c r="Y3" s="4">
        <f t="shared" ref="Y3:Y16" si="10">X3*SQRT(((N3/M3)^2))</f>
        <v>1.0274374153641897E-2</v>
      </c>
      <c r="Z3" s="4">
        <f t="shared" ref="Z3:Z16" si="11">Y3^2</f>
        <v>1.0556276424902465E-4</v>
      </c>
      <c r="AA3" s="8">
        <f>(C3-$AE$6)*24</f>
        <v>183.23333333339542</v>
      </c>
      <c r="AB3" s="15">
        <f t="shared" ref="AB3:AB21" si="12">EXP(-$AE$9*AA3)</f>
        <v>0.9994967033531672</v>
      </c>
      <c r="AC3" s="8">
        <f t="shared" ref="AC3:AC21" si="13">X3/AB3</f>
        <v>8.4274028911920512E-2</v>
      </c>
      <c r="AE3">
        <f>LN(2)/61.4</f>
        <v>1.1289042028663604E-2</v>
      </c>
    </row>
    <row r="4" spans="1:31" x14ac:dyDescent="0.25">
      <c r="A4" s="29" t="s">
        <v>14</v>
      </c>
      <c r="B4" s="26">
        <v>43319.458611111113</v>
      </c>
      <c r="C4" s="11">
        <v>43320.157638888886</v>
      </c>
      <c r="D4" s="12">
        <v>13.78</v>
      </c>
      <c r="E4" s="13">
        <v>4.5</v>
      </c>
      <c r="F4" s="4">
        <f t="shared" si="3"/>
        <v>0.62009999999999998</v>
      </c>
      <c r="G4" s="8">
        <f t="shared" si="0"/>
        <v>6.379999999999999</v>
      </c>
      <c r="H4" s="4">
        <f t="shared" ref="H4:H17" si="14">SQRT((F4^2)+(F$17^2))</f>
        <v>0.77971234295796543</v>
      </c>
      <c r="I4" s="14">
        <f t="shared" si="4"/>
        <v>16.776666666555684</v>
      </c>
      <c r="J4" s="7">
        <f t="shared" si="5"/>
        <v>1.6666666666666666E-2</v>
      </c>
      <c r="K4" s="8">
        <f>1-EXP(-$AE$3*I4)</f>
        <v>0.17253833169977206</v>
      </c>
      <c r="L4" s="4">
        <f t="shared" si="6"/>
        <v>1.7140704520257643E-4</v>
      </c>
      <c r="M4" s="8">
        <f>G4/((1+K4))</f>
        <v>5.4411867207370719</v>
      </c>
      <c r="N4" s="4">
        <f t="shared" si="1"/>
        <v>0.66500009635060553</v>
      </c>
      <c r="O4" s="8">
        <f>M4*K4</f>
        <v>0.9388132792629279</v>
      </c>
      <c r="P4" s="4">
        <f t="shared" si="2"/>
        <v>0.11474179773614046</v>
      </c>
      <c r="Q4" s="8">
        <f t="shared" si="7"/>
        <v>6.38</v>
      </c>
      <c r="R4" s="8">
        <v>0.96440000000000037</v>
      </c>
      <c r="S4" s="4">
        <v>1.4142135623730951E-4</v>
      </c>
      <c r="T4" s="8">
        <f>M4/R4</f>
        <v>5.6420434682051743</v>
      </c>
      <c r="U4" s="4">
        <f t="shared" si="8"/>
        <v>0.68954850169732218</v>
      </c>
      <c r="V4" s="8">
        <f>SUM($T$2:T4)</f>
        <v>16.063102653763007</v>
      </c>
      <c r="W4" s="4">
        <f>SQRT((U4^2)+(U3^2)+(U2^2))</f>
        <v>1.2988074714882376</v>
      </c>
      <c r="X4" s="8">
        <f t="shared" si="9"/>
        <v>9.0686445345617858E-2</v>
      </c>
      <c r="Y4" s="4">
        <f t="shared" si="10"/>
        <v>1.1083334939176759E-2</v>
      </c>
      <c r="Z4" s="4">
        <f t="shared" si="11"/>
        <v>1.228403133739763E-4</v>
      </c>
      <c r="AA4" s="8">
        <f>(C4-$AE$6)*24</f>
        <v>183.78333333326736</v>
      </c>
      <c r="AB4" s="15">
        <f t="shared" si="12"/>
        <v>0.99949519302057477</v>
      </c>
      <c r="AC4" s="8">
        <f t="shared" si="13"/>
        <v>9.0732247617474102E-2</v>
      </c>
    </row>
    <row r="5" spans="1:31" x14ac:dyDescent="0.25">
      <c r="A5" s="29" t="s">
        <v>15</v>
      </c>
      <c r="B5" s="26">
        <v>43319.458749826386</v>
      </c>
      <c r="C5" s="11">
        <v>43320.180555555555</v>
      </c>
      <c r="D5" s="12">
        <v>19</v>
      </c>
      <c r="E5" s="13">
        <v>3.74</v>
      </c>
      <c r="F5" s="4">
        <f t="shared" si="3"/>
        <v>0.71060000000000001</v>
      </c>
      <c r="G5" s="8">
        <f t="shared" si="0"/>
        <v>11.6</v>
      </c>
      <c r="H5" s="4">
        <f t="shared" si="14"/>
        <v>0.85345163176421424</v>
      </c>
      <c r="I5" s="14">
        <f t="shared" si="4"/>
        <v>17.323337500041816</v>
      </c>
      <c r="J5" s="7">
        <f t="shared" si="5"/>
        <v>1.6666666666666666E-2</v>
      </c>
      <c r="K5" s="8">
        <f>1-EXP(-$AE$3*I5)</f>
        <v>0.17762919536720445</v>
      </c>
      <c r="L5" s="4">
        <f t="shared" si="6"/>
        <v>1.7089585591958023E-4</v>
      </c>
      <c r="M5" s="8">
        <f>G5/((1+K5))</f>
        <v>9.8502992670650684</v>
      </c>
      <c r="N5" s="4">
        <f t="shared" si="1"/>
        <v>0.72478213134815095</v>
      </c>
      <c r="O5" s="8">
        <f>M5*K5</f>
        <v>1.7497007329349319</v>
      </c>
      <c r="P5" s="4">
        <f t="shared" si="2"/>
        <v>0.12875347184548311</v>
      </c>
      <c r="Q5" s="8">
        <f t="shared" si="7"/>
        <v>11.6</v>
      </c>
      <c r="R5" s="8">
        <v>0.88670000000000027</v>
      </c>
      <c r="S5" s="4">
        <v>1.4142135623730951E-4</v>
      </c>
      <c r="T5" s="8">
        <f>M5/R5</f>
        <v>11.10894244622202</v>
      </c>
      <c r="U5" s="4">
        <f t="shared" si="8"/>
        <v>0.81739464762089065</v>
      </c>
      <c r="V5" s="8">
        <f>SUM($T$2:T5)</f>
        <v>27.172045099985027</v>
      </c>
      <c r="W5" s="4">
        <f>SQRT((U5^2)+(U4^2)+(U3^2)+(U2^2))</f>
        <v>1.5346122826150419</v>
      </c>
      <c r="X5" s="8">
        <f t="shared" si="9"/>
        <v>0.16417165445108448</v>
      </c>
      <c r="Y5" s="4">
        <f t="shared" si="10"/>
        <v>1.2079702189135849E-2</v>
      </c>
      <c r="Z5" s="4">
        <f t="shared" si="11"/>
        <v>1.4591920497821341E-4</v>
      </c>
      <c r="AA5" s="8">
        <f>(C5-$AE$6)*24</f>
        <v>184.33333333331393</v>
      </c>
      <c r="AB5" s="15">
        <f t="shared" si="12"/>
        <v>0.99949368269026417</v>
      </c>
      <c r="AC5" s="8">
        <f t="shared" si="13"/>
        <v>0.16425481950940962</v>
      </c>
    </row>
    <row r="6" spans="1:31" x14ac:dyDescent="0.25">
      <c r="A6" s="29" t="s">
        <v>16</v>
      </c>
      <c r="B6" s="26">
        <v>43319.458888657406</v>
      </c>
      <c r="C6" s="11">
        <v>43320.203472222223</v>
      </c>
      <c r="D6" s="12">
        <v>114.27</v>
      </c>
      <c r="E6" s="13">
        <v>1.64</v>
      </c>
      <c r="F6" s="4">
        <f t="shared" si="3"/>
        <v>1.8740279999999998</v>
      </c>
      <c r="G6" s="8">
        <f t="shared" si="0"/>
        <v>106.86999999999999</v>
      </c>
      <c r="H6" s="4">
        <f t="shared" si="14"/>
        <v>1.9327204331058849</v>
      </c>
      <c r="I6" s="14">
        <f t="shared" si="4"/>
        <v>17.870005555625539</v>
      </c>
      <c r="J6" s="7">
        <f t="shared" si="5"/>
        <v>1.6666666666666666E-2</v>
      </c>
      <c r="K6" s="8">
        <f>1-EXP(-$AE$3*I6)</f>
        <v>0.18268871244500084</v>
      </c>
      <c r="L6" s="4">
        <f t="shared" si="6"/>
        <v>1.7038673349068043E-4</v>
      </c>
      <c r="M6" s="8">
        <f>G6/((1+K6))</f>
        <v>90.361900705947434</v>
      </c>
      <c r="N6" s="4">
        <f t="shared" si="1"/>
        <v>1.6363467997421037</v>
      </c>
      <c r="O6" s="8">
        <f>M6*K6</f>
        <v>16.508099294052549</v>
      </c>
      <c r="P6" s="4">
        <f t="shared" si="2"/>
        <v>0.29933831096140451</v>
      </c>
      <c r="Q6" s="8">
        <f t="shared" si="7"/>
        <v>106.86999999999998</v>
      </c>
      <c r="R6" s="8">
        <v>0.76100000000000012</v>
      </c>
      <c r="S6" s="4">
        <v>1.4142135623730951E-4</v>
      </c>
      <c r="T6" s="8">
        <f>M6/R6</f>
        <v>118.74099961359714</v>
      </c>
      <c r="U6" s="4">
        <f t="shared" si="8"/>
        <v>2.1503718285321147</v>
      </c>
      <c r="V6" s="8">
        <f>SUM($T$2:T6)</f>
        <v>145.91304471358217</v>
      </c>
      <c r="W6" s="4">
        <f>SQRT((U6^2)+(U5^2)+(U4^2)+(U3^2)+(U2^2))</f>
        <v>2.64180503801804</v>
      </c>
      <c r="X6" s="8">
        <f t="shared" si="9"/>
        <v>1.5060316784324572</v>
      </c>
      <c r="Y6" s="4">
        <f t="shared" si="10"/>
        <v>2.7272446662368395E-2</v>
      </c>
      <c r="Z6" s="4">
        <f t="shared" si="11"/>
        <v>7.4378634695172904E-4</v>
      </c>
      <c r="AA6" s="8">
        <f>(C6-$AE$6)*24</f>
        <v>184.8833333333605</v>
      </c>
      <c r="AB6" s="15">
        <f t="shared" si="12"/>
        <v>0.99949217236223586</v>
      </c>
      <c r="AC6" s="8">
        <f t="shared" si="13"/>
        <v>1.5067968715283158</v>
      </c>
      <c r="AE6" s="1">
        <v>43312.5</v>
      </c>
    </row>
    <row r="7" spans="1:31" x14ac:dyDescent="0.25">
      <c r="A7" s="29" t="s">
        <v>17</v>
      </c>
      <c r="B7" s="26">
        <v>43319.459027488425</v>
      </c>
      <c r="C7" s="11">
        <v>43320.226388888892</v>
      </c>
      <c r="D7" s="12">
        <v>342.45</v>
      </c>
      <c r="E7" s="13">
        <v>1.07</v>
      </c>
      <c r="F7" s="4">
        <f t="shared" si="3"/>
        <v>3.6642150000000004</v>
      </c>
      <c r="G7" s="8">
        <f t="shared" si="0"/>
        <v>335.05</v>
      </c>
      <c r="H7" s="4">
        <f t="shared" si="14"/>
        <v>3.6945769573776648</v>
      </c>
      <c r="I7" s="14">
        <f t="shared" si="4"/>
        <v>18.416673611209262</v>
      </c>
      <c r="J7" s="7">
        <f t="shared" si="5"/>
        <v>1.6666666666666666E-2</v>
      </c>
      <c r="K7" s="8">
        <f>1-EXP(-$AE$3*I7)</f>
        <v>0.18771710157793797</v>
      </c>
      <c r="L7" s="4">
        <f t="shared" si="6"/>
        <v>1.6987966587669089E-4</v>
      </c>
      <c r="M7" s="8">
        <f>G7/((1+K7))</f>
        <v>282.09579499602251</v>
      </c>
      <c r="N7" s="4">
        <f t="shared" si="1"/>
        <v>3.1211122097054278</v>
      </c>
      <c r="O7" s="8">
        <f>M7*K7</f>
        <v>52.954205003977521</v>
      </c>
      <c r="P7" s="4">
        <f t="shared" si="2"/>
        <v>0.58784276551545367</v>
      </c>
      <c r="Q7" s="8">
        <f t="shared" si="7"/>
        <v>335.05</v>
      </c>
      <c r="R7" s="8">
        <v>0.82000000000000028</v>
      </c>
      <c r="S7" s="4">
        <v>1.4142135623730951E-4</v>
      </c>
      <c r="T7" s="8">
        <f>M7/R7</f>
        <v>344.01926219027121</v>
      </c>
      <c r="U7" s="4">
        <f t="shared" si="8"/>
        <v>3.806696800036153</v>
      </c>
      <c r="V7" s="8">
        <f>SUM($T$2:T7)</f>
        <v>489.93230690385337</v>
      </c>
      <c r="W7" s="4">
        <f>SQRT((U7^2)+(U6^2)+(U5^2)+(U4^2)+(U3^2)+(U2^2))</f>
        <v>4.6335811621577312</v>
      </c>
      <c r="X7" s="8">
        <f t="shared" si="9"/>
        <v>4.7015965832670421</v>
      </c>
      <c r="Y7" s="4">
        <f t="shared" si="10"/>
        <v>5.2018536828423799E-2</v>
      </c>
      <c r="Z7" s="4">
        <f t="shared" si="11"/>
        <v>2.7059281737700832E-3</v>
      </c>
      <c r="AA7" s="8">
        <f>(C7-$AE$6)*24</f>
        <v>185.43333333340706</v>
      </c>
      <c r="AB7" s="15">
        <f t="shared" si="12"/>
        <v>0.99949066203648973</v>
      </c>
      <c r="AC7" s="8">
        <f t="shared" si="13"/>
        <v>4.7039925052300235</v>
      </c>
    </row>
    <row r="8" spans="1:31" x14ac:dyDescent="0.25">
      <c r="A8" s="29" t="s">
        <v>18</v>
      </c>
      <c r="B8" s="26">
        <v>43319.459166319444</v>
      </c>
      <c r="C8" s="11">
        <v>43320.249305555553</v>
      </c>
      <c r="D8" s="12">
        <v>351.55</v>
      </c>
      <c r="E8" s="13">
        <v>1.07</v>
      </c>
      <c r="F8" s="4">
        <f t="shared" si="3"/>
        <v>3.7615850000000006</v>
      </c>
      <c r="G8" s="8">
        <f t="shared" si="0"/>
        <v>344.15000000000003</v>
      </c>
      <c r="H8" s="4">
        <f t="shared" si="14"/>
        <v>3.7911672397806462</v>
      </c>
      <c r="I8" s="14">
        <f t="shared" si="4"/>
        <v>18.963341666618362</v>
      </c>
      <c r="J8" s="7">
        <f t="shared" si="5"/>
        <v>1.6666666666666666E-2</v>
      </c>
      <c r="K8" s="8">
        <f>1-EXP(-$AE$3*I8)</f>
        <v>0.19271455427458939</v>
      </c>
      <c r="L8" s="4">
        <f t="shared" si="6"/>
        <v>1.6937464368760628E-4</v>
      </c>
      <c r="M8" s="8">
        <f>G8/((1+K8))</f>
        <v>288.54347317771482</v>
      </c>
      <c r="N8" s="4">
        <f t="shared" si="1"/>
        <v>3.188704291618659</v>
      </c>
      <c r="O8" s="8">
        <f>M8*K8</f>
        <v>55.606526822285247</v>
      </c>
      <c r="P8" s="4">
        <f t="shared" si="2"/>
        <v>0.61645005554466314</v>
      </c>
      <c r="Q8" s="8">
        <f t="shared" si="7"/>
        <v>344.15000000000009</v>
      </c>
      <c r="R8" s="8">
        <v>0.81289999999999996</v>
      </c>
      <c r="S8" s="4">
        <v>1.4142135623730951E-4</v>
      </c>
      <c r="T8" s="8">
        <f>M8/R8</f>
        <v>354.95568111417742</v>
      </c>
      <c r="U8" s="4">
        <f t="shared" si="8"/>
        <v>3.9231140259481685</v>
      </c>
      <c r="V8" s="8">
        <f>SUM($T$2:T8)</f>
        <v>844.8879880180308</v>
      </c>
      <c r="W8" s="4">
        <f>SQRT((U8^2)+(U7^2)+(U6^2)+(U5^2)+(U4^2)+(U3^2)+(U2^2))</f>
        <v>6.0713176532688715</v>
      </c>
      <c r="X8" s="8">
        <f t="shared" si="9"/>
        <v>4.8090578862952471</v>
      </c>
      <c r="Y8" s="4">
        <f t="shared" si="10"/>
        <v>5.3145071526977651E-2</v>
      </c>
      <c r="Z8" s="4">
        <f t="shared" si="11"/>
        <v>2.8243986276075706E-3</v>
      </c>
      <c r="AA8" s="8">
        <f>(C8-$AE$6)*24</f>
        <v>185.98333333327901</v>
      </c>
      <c r="AB8" s="15">
        <f t="shared" si="12"/>
        <v>0.99948915171302632</v>
      </c>
      <c r="AC8" s="8">
        <f t="shared" si="13"/>
        <v>4.811515840920328</v>
      </c>
      <c r="AE8" t="s">
        <v>36</v>
      </c>
    </row>
    <row r="9" spans="1:31" x14ac:dyDescent="0.25">
      <c r="A9" s="29" t="s">
        <v>19</v>
      </c>
      <c r="B9" s="26">
        <v>43319.459305150463</v>
      </c>
      <c r="C9" s="11">
        <v>43320.272222222222</v>
      </c>
      <c r="D9" s="12">
        <v>230.49</v>
      </c>
      <c r="E9" s="13">
        <v>1.26</v>
      </c>
      <c r="F9" s="4">
        <f t="shared" si="3"/>
        <v>2.9041740000000003</v>
      </c>
      <c r="G9" s="8">
        <f t="shared" si="0"/>
        <v>223.09</v>
      </c>
      <c r="H9" s="4">
        <f t="shared" si="14"/>
        <v>2.9423891567970748</v>
      </c>
      <c r="I9" s="14">
        <f t="shared" si="4"/>
        <v>19.510009722202085</v>
      </c>
      <c r="J9" s="7">
        <f t="shared" si="5"/>
        <v>1.6666666666666666E-2</v>
      </c>
      <c r="K9" s="8">
        <f>1-EXP(-$AE$3*I9)</f>
        <v>0.19768126087007465</v>
      </c>
      <c r="L9" s="4">
        <f t="shared" si="6"/>
        <v>1.6887165757885849E-4</v>
      </c>
      <c r="M9" s="8">
        <f>G9/((1+K9))</f>
        <v>186.26825624534922</v>
      </c>
      <c r="N9" s="4">
        <f t="shared" si="1"/>
        <v>2.4618858163356871</v>
      </c>
      <c r="O9" s="8">
        <f>M9*K9</f>
        <v>36.82174375465079</v>
      </c>
      <c r="P9" s="4">
        <f t="shared" si="2"/>
        <v>0.4876841806763047</v>
      </c>
      <c r="Q9" s="8">
        <f t="shared" si="7"/>
        <v>223.09</v>
      </c>
      <c r="R9" s="8">
        <v>0.80759999999999987</v>
      </c>
      <c r="S9" s="4">
        <v>1.4142135623730951E-4</v>
      </c>
      <c r="T9" s="8">
        <f>M9/R9</f>
        <v>230.64420040285941</v>
      </c>
      <c r="U9" s="4">
        <f t="shared" si="8"/>
        <v>3.0486650422824231</v>
      </c>
      <c r="V9" s="8">
        <f>SUM($T$2:T9)</f>
        <v>1075.5321884208902</v>
      </c>
      <c r="W9" s="4">
        <f>SQRT((U9^2)+(U8^2)+(U7^2)+(U6^2)+(U5^2)+(U4^2)+(U3^2)+(U2^2))</f>
        <v>6.7937660091387544</v>
      </c>
      <c r="X9" s="8">
        <f t="shared" si="9"/>
        <v>3.1044709374224868</v>
      </c>
      <c r="Y9" s="4">
        <f t="shared" si="10"/>
        <v>4.103143027226145E-2</v>
      </c>
      <c r="Z9" s="4">
        <f t="shared" si="11"/>
        <v>1.6835782701874534E-3</v>
      </c>
      <c r="AA9" s="8">
        <f>(C9-$AE$6)*24</f>
        <v>186.53333333332557</v>
      </c>
      <c r="AB9" s="15">
        <f t="shared" si="12"/>
        <v>0.99948764139184465</v>
      </c>
      <c r="AC9" s="8">
        <f t="shared" si="13"/>
        <v>3.1060623552076447</v>
      </c>
      <c r="AE9">
        <f>LN(2)/252288</f>
        <v>2.7474441137110973E-6</v>
      </c>
    </row>
    <row r="10" spans="1:31" x14ac:dyDescent="0.25">
      <c r="A10" s="29" t="s">
        <v>20</v>
      </c>
      <c r="B10" s="26">
        <v>43319.459443981483</v>
      </c>
      <c r="C10" s="11">
        <v>43320.293749999997</v>
      </c>
      <c r="D10" s="12">
        <v>144.19</v>
      </c>
      <c r="E10" s="13">
        <v>1.51</v>
      </c>
      <c r="F10" s="4">
        <f t="shared" si="3"/>
        <v>2.1772689999999999</v>
      </c>
      <c r="G10" s="8">
        <f t="shared" si="0"/>
        <v>136.79</v>
      </c>
      <c r="H10" s="4">
        <f t="shared" si="14"/>
        <v>2.2279873487347275</v>
      </c>
      <c r="I10" s="14">
        <f t="shared" si="4"/>
        <v>20.02334444434382</v>
      </c>
      <c r="J10" s="7">
        <f t="shared" si="5"/>
        <v>1.6666666666666666E-2</v>
      </c>
      <c r="K10" s="8">
        <f>1-EXP(-$AE$3*I10)</f>
        <v>0.20231729787436981</v>
      </c>
      <c r="L10" s="4">
        <f t="shared" si="6"/>
        <v>1.6840118662221471E-4</v>
      </c>
      <c r="M10" s="8">
        <f>G10/((1+K10))</f>
        <v>113.77196372524716</v>
      </c>
      <c r="N10" s="4">
        <f t="shared" si="1"/>
        <v>1.8554958556365764</v>
      </c>
      <c r="O10" s="8">
        <f>M10*K10</f>
        <v>23.018036274752827</v>
      </c>
      <c r="P10" s="4">
        <f t="shared" si="2"/>
        <v>0.37588750975810792</v>
      </c>
      <c r="Q10" s="8">
        <f t="shared" si="7"/>
        <v>136.79</v>
      </c>
      <c r="R10" s="8">
        <v>0.82800000000000029</v>
      </c>
      <c r="S10" s="4">
        <v>1.4142135623730951E-4</v>
      </c>
      <c r="T10" s="8">
        <f>M10/R10</f>
        <v>137.40575329136126</v>
      </c>
      <c r="U10" s="4">
        <f t="shared" si="8"/>
        <v>2.24105991118526</v>
      </c>
      <c r="V10" s="8">
        <f>SUM($T$2:T10)</f>
        <v>1212.9379417122514</v>
      </c>
      <c r="W10" s="4">
        <f>SQRT((U10^2)+(U9^2)+(U8^2)+(U7^2)+(U6^2)+(U5^2)+(U4^2)+(U3^2)+(U2^2))</f>
        <v>7.1538525363925984</v>
      </c>
      <c r="X10" s="8">
        <f t="shared" si="9"/>
        <v>1.8961993954207861</v>
      </c>
      <c r="Y10" s="4">
        <f t="shared" si="10"/>
        <v>3.0924930927276276E-2</v>
      </c>
      <c r="Z10" s="4">
        <f t="shared" si="11"/>
        <v>9.5635135285680869E-4</v>
      </c>
      <c r="AA10" s="8">
        <f>(C10-$AE$6)*24</f>
        <v>187.04999999993015</v>
      </c>
      <c r="AB10" s="15">
        <f t="shared" si="12"/>
        <v>0.99948622260735931</v>
      </c>
      <c r="AC10" s="8">
        <f t="shared" si="13"/>
        <v>1.8971741205938502</v>
      </c>
    </row>
    <row r="11" spans="1:31" x14ac:dyDescent="0.25">
      <c r="A11" s="29" t="s">
        <v>21</v>
      </c>
      <c r="B11" s="26">
        <v>43319.459582812502</v>
      </c>
      <c r="C11" s="11">
        <v>43320.316666666666</v>
      </c>
      <c r="D11" s="12">
        <v>83.76</v>
      </c>
      <c r="E11" s="13">
        <v>1.8</v>
      </c>
      <c r="F11" s="4">
        <f t="shared" si="3"/>
        <v>1.5076800000000004</v>
      </c>
      <c r="G11" s="8">
        <f t="shared" si="0"/>
        <v>76.36</v>
      </c>
      <c r="H11" s="4">
        <f t="shared" si="14"/>
        <v>1.5800399710643402</v>
      </c>
      <c r="I11" s="14">
        <f t="shared" si="4"/>
        <v>20.570012499927543</v>
      </c>
      <c r="J11" s="7">
        <f t="shared" si="5"/>
        <v>1.6666666666666666E-2</v>
      </c>
      <c r="K11" s="8">
        <f>1-EXP(-$AE$3*I11)</f>
        <v>0.20722492498288503</v>
      </c>
      <c r="L11" s="4">
        <f t="shared" si="6"/>
        <v>1.679021220685654E-4</v>
      </c>
      <c r="M11" s="8">
        <f>G11/((1+K11))</f>
        <v>63.252504500006545</v>
      </c>
      <c r="N11" s="4">
        <f t="shared" si="1"/>
        <v>1.3098228867617749</v>
      </c>
      <c r="O11" s="8">
        <f>M11*K11</f>
        <v>13.107495499993455</v>
      </c>
      <c r="P11" s="4">
        <f t="shared" si="2"/>
        <v>0.27163564019146391</v>
      </c>
      <c r="Q11" s="8">
        <f t="shared" si="7"/>
        <v>76.36</v>
      </c>
      <c r="R11" s="8">
        <v>0.80069999999999997</v>
      </c>
      <c r="S11" s="4">
        <v>1.4142135623730951E-4</v>
      </c>
      <c r="T11" s="8">
        <f>M11/R11</f>
        <v>78.996508679913262</v>
      </c>
      <c r="U11" s="4">
        <f t="shared" si="8"/>
        <v>1.6359067432837737</v>
      </c>
      <c r="V11" s="8">
        <f>SUM($T$2:T11)</f>
        <v>1291.9344503921645</v>
      </c>
      <c r="W11" s="4">
        <f>SQRT((U11^2)+(U10^2)+(U9^2)+(U8^2)+(U7^2)+(U6^2)+(U5^2)+(U4^2)+(U3^2)+(U2^2))</f>
        <v>7.3385146307118667</v>
      </c>
      <c r="X11" s="8">
        <f t="shared" si="9"/>
        <v>1.0542084083334424</v>
      </c>
      <c r="Y11" s="4">
        <f t="shared" si="10"/>
        <v>2.1830381446029581E-2</v>
      </c>
      <c r="Z11" s="4">
        <f t="shared" si="11"/>
        <v>4.7656555407915254E-4</v>
      </c>
      <c r="AA11" s="8">
        <f>(C11-$AE$6)*24</f>
        <v>187.59999999997672</v>
      </c>
      <c r="AB11" s="15">
        <f t="shared" si="12"/>
        <v>0.99948471229060387</v>
      </c>
      <c r="AC11" s="8">
        <f t="shared" si="13"/>
        <v>1.054751909028627</v>
      </c>
    </row>
    <row r="12" spans="1:31" x14ac:dyDescent="0.25">
      <c r="A12" s="29" t="s">
        <v>22</v>
      </c>
      <c r="B12" s="26">
        <v>43319.459721643521</v>
      </c>
      <c r="C12" s="11">
        <v>43320.339583275461</v>
      </c>
      <c r="D12" s="12">
        <v>51.82</v>
      </c>
      <c r="E12" s="13">
        <v>2.0699999999999998</v>
      </c>
      <c r="F12" s="4">
        <f t="shared" si="3"/>
        <v>1.0726739999999999</v>
      </c>
      <c r="G12" s="8">
        <f t="shared" si="0"/>
        <v>44.42</v>
      </c>
      <c r="H12" s="4">
        <f t="shared" si="14"/>
        <v>1.1722017053549272</v>
      </c>
      <c r="I12" s="14">
        <f t="shared" si="4"/>
        <v>21.116679166560061</v>
      </c>
      <c r="J12" s="7">
        <f t="shared" si="5"/>
        <v>1.6666666666666666E-2</v>
      </c>
      <c r="K12" s="8">
        <f>1-EXP(-$AE$3*I12)</f>
        <v>0.21210234627336422</v>
      </c>
      <c r="L12" s="4">
        <f t="shared" si="6"/>
        <v>1.6740506765638063E-4</v>
      </c>
      <c r="M12" s="8">
        <f>G12/((1+K12))</f>
        <v>36.647070386894541</v>
      </c>
      <c r="N12" s="4">
        <f t="shared" si="1"/>
        <v>0.96751390762879319</v>
      </c>
      <c r="O12" s="8">
        <f>M12*K12</f>
        <v>7.7729296131054575</v>
      </c>
      <c r="P12" s="4">
        <f t="shared" si="2"/>
        <v>0.20530365227366082</v>
      </c>
      <c r="Q12" s="8">
        <f t="shared" si="7"/>
        <v>44.42</v>
      </c>
      <c r="R12" s="8">
        <v>0.80729999999999968</v>
      </c>
      <c r="S12" s="4">
        <v>1.4142135623730951E-4</v>
      </c>
      <c r="T12" s="8">
        <f>M12/R12</f>
        <v>45.394612147769791</v>
      </c>
      <c r="U12" s="4">
        <f t="shared" si="8"/>
        <v>1.198482851494272</v>
      </c>
      <c r="V12" s="8">
        <f>SUM($T$2:T12)</f>
        <v>1337.3290625399343</v>
      </c>
      <c r="W12" s="4">
        <f>SQRT((U12^2)+(U11^2)+(U10^2)+(U9^2)+(U8^2)+(U7^2)+(U6^2)+(U5^2)+(U4^2)+(U3^2)+(U2^2))</f>
        <v>7.4357352111608961</v>
      </c>
      <c r="X12" s="8">
        <f t="shared" si="9"/>
        <v>0.61078450644824234</v>
      </c>
      <c r="Y12" s="4">
        <f t="shared" si="10"/>
        <v>1.612523179381322E-2</v>
      </c>
      <c r="Z12" s="4">
        <f t="shared" si="11"/>
        <v>2.6002310040420471E-4</v>
      </c>
      <c r="AA12" s="8">
        <f>(C12-$AE$6)*24</f>
        <v>188.14999861107208</v>
      </c>
      <c r="AB12" s="15">
        <f t="shared" si="12"/>
        <v>0.99948320197994467</v>
      </c>
      <c r="AC12" s="8">
        <f t="shared" si="13"/>
        <v>0.61110032188464747</v>
      </c>
    </row>
    <row r="13" spans="1:31" x14ac:dyDescent="0.25">
      <c r="A13" s="29" t="s">
        <v>23</v>
      </c>
      <c r="B13" s="26">
        <v>43319.459860474541</v>
      </c>
      <c r="C13" s="11">
        <v>43320.36249994213</v>
      </c>
      <c r="D13" s="12">
        <v>33.74</v>
      </c>
      <c r="E13" s="13">
        <v>2.63</v>
      </c>
      <c r="F13" s="4">
        <f t="shared" si="3"/>
        <v>0.8873620000000001</v>
      </c>
      <c r="G13" s="8">
        <f t="shared" si="0"/>
        <v>26.340000000000003</v>
      </c>
      <c r="H13" s="4">
        <f t="shared" si="14"/>
        <v>1.0054047179146317</v>
      </c>
      <c r="I13" s="14">
        <f t="shared" si="4"/>
        <v>21.663347222143784</v>
      </c>
      <c r="J13" s="7">
        <f t="shared" si="5"/>
        <v>1.6666666666666666E-2</v>
      </c>
      <c r="K13" s="8">
        <f>1-EXP(-$AE$3*I13)</f>
        <v>0.21694977229107848</v>
      </c>
      <c r="L13" s="4">
        <f t="shared" si="6"/>
        <v>1.669100116942511E-4</v>
      </c>
      <c r="M13" s="8">
        <f>G13/((1+K13))</f>
        <v>21.644278670935829</v>
      </c>
      <c r="N13" s="4">
        <f t="shared" si="1"/>
        <v>0.82633560084446367</v>
      </c>
      <c r="O13" s="8">
        <f>M13*K13</f>
        <v>4.6957213290641748</v>
      </c>
      <c r="P13" s="4">
        <f t="shared" si="2"/>
        <v>0.1793097170770396</v>
      </c>
      <c r="Q13" s="8">
        <f t="shared" si="7"/>
        <v>26.340000000000003</v>
      </c>
      <c r="R13" s="8">
        <v>0.82390000000000008</v>
      </c>
      <c r="S13" s="4">
        <v>1.4142135623730951E-4</v>
      </c>
      <c r="T13" s="8">
        <f>M13/R13</f>
        <v>26.270516653642222</v>
      </c>
      <c r="U13" s="4">
        <f t="shared" si="8"/>
        <v>1.0029663219023002</v>
      </c>
      <c r="V13" s="8">
        <f>SUM($T$2:T13)</f>
        <v>1363.5995791935766</v>
      </c>
      <c r="W13" s="4">
        <f>SQRT((U13^2)+(U12^2)+(U11^2)+(U10^2)+(U9^2)+(U8^2)+(U7^2)+(U6^2)+(U5^2)+(U4^2)+(U3^2)+(U2^2))</f>
        <v>7.5030726754689114</v>
      </c>
      <c r="X13" s="8">
        <f t="shared" si="9"/>
        <v>0.36073797784893047</v>
      </c>
      <c r="Y13" s="4">
        <f t="shared" si="10"/>
        <v>1.3772260014074394E-2</v>
      </c>
      <c r="Z13" s="4">
        <f t="shared" si="11"/>
        <v>1.8967514589527244E-4</v>
      </c>
      <c r="AA13" s="8">
        <f>(C13-$AE$6)*24</f>
        <v>188.69999861111864</v>
      </c>
      <c r="AB13" s="15">
        <f t="shared" si="12"/>
        <v>0.99948169166775369</v>
      </c>
      <c r="AC13" s="8">
        <f t="shared" si="13"/>
        <v>0.3609250483087853</v>
      </c>
    </row>
    <row r="14" spans="1:31" x14ac:dyDescent="0.25">
      <c r="A14" s="29" t="s">
        <v>24</v>
      </c>
      <c r="B14" s="26">
        <v>43319.459999305553</v>
      </c>
      <c r="C14" s="11">
        <v>43320.385416608799</v>
      </c>
      <c r="D14" s="12">
        <v>21.66</v>
      </c>
      <c r="E14" s="13">
        <v>2.94</v>
      </c>
      <c r="F14" s="4">
        <f t="shared" si="3"/>
        <v>0.63680400000000004</v>
      </c>
      <c r="G14" s="8">
        <f t="shared" si="0"/>
        <v>14.26</v>
      </c>
      <c r="H14" s="4">
        <f t="shared" si="14"/>
        <v>0.7930615752745811</v>
      </c>
      <c r="I14" s="14">
        <f t="shared" si="4"/>
        <v>22.21001527790213</v>
      </c>
      <c r="J14" s="7">
        <f t="shared" si="5"/>
        <v>1.6666666666666666E-2</v>
      </c>
      <c r="K14" s="8">
        <f>1-EXP(-$AE$3*I14)</f>
        <v>0.2217673752249476</v>
      </c>
      <c r="L14" s="4">
        <f t="shared" si="6"/>
        <v>1.6641694632660851E-4</v>
      </c>
      <c r="M14" s="8">
        <f>G14/((1+K14))</f>
        <v>11.671616290600735</v>
      </c>
      <c r="N14" s="4">
        <f t="shared" si="1"/>
        <v>0.64916921355856183</v>
      </c>
      <c r="O14" s="8">
        <f>M14*K14</f>
        <v>2.5883837093992641</v>
      </c>
      <c r="P14" s="4">
        <f t="shared" si="2"/>
        <v>0.14397765499537893</v>
      </c>
      <c r="Q14" s="8">
        <f t="shared" si="7"/>
        <v>14.259999999999998</v>
      </c>
      <c r="R14" s="8">
        <v>0.81879999999999953</v>
      </c>
      <c r="S14" s="4">
        <v>1.4142135623730951E-4</v>
      </c>
      <c r="T14" s="8">
        <f>M14/R14</f>
        <v>14.254538703713656</v>
      </c>
      <c r="U14" s="4">
        <f t="shared" si="8"/>
        <v>0.792833834367899</v>
      </c>
      <c r="V14" s="8">
        <f>SUM($T$2:T14)</f>
        <v>1377.8541178972903</v>
      </c>
      <c r="W14" s="4">
        <f>SQRT((U14^2)+(U13^2)+(U12^2)+(U11^2)+(U10^2)+(U9^2)+(U8^2)+(U7^2)+(U6^2)+(U5^2)+(U4^2)+(U3^2)+(U2^2))</f>
        <v>7.5448449329516842</v>
      </c>
      <c r="X14" s="8">
        <f t="shared" si="9"/>
        <v>0.1945269381766789</v>
      </c>
      <c r="Y14" s="4">
        <f t="shared" si="10"/>
        <v>1.0819486892642697E-2</v>
      </c>
      <c r="Z14" s="4">
        <f t="shared" si="11"/>
        <v>1.1706129662006713E-4</v>
      </c>
      <c r="AA14" s="8">
        <f>(C14-$AE$6)*24</f>
        <v>189.24999861116521</v>
      </c>
      <c r="AB14" s="15">
        <f t="shared" si="12"/>
        <v>0.99948018135784489</v>
      </c>
      <c r="AC14" s="8">
        <f t="shared" si="13"/>
        <v>0.19462810949628248</v>
      </c>
    </row>
    <row r="15" spans="1:31" x14ac:dyDescent="0.25">
      <c r="A15" s="29" t="s">
        <v>25</v>
      </c>
      <c r="B15" s="26">
        <v>43319.460138136572</v>
      </c>
      <c r="C15" s="11">
        <v>43320.40833327546</v>
      </c>
      <c r="D15" s="12">
        <v>16.850000000000001</v>
      </c>
      <c r="E15" s="13">
        <v>3.9</v>
      </c>
      <c r="F15" s="4">
        <f t="shared" si="3"/>
        <v>0.65715000000000001</v>
      </c>
      <c r="G15" s="8">
        <f t="shared" si="0"/>
        <v>9.4500000000000011</v>
      </c>
      <c r="H15" s="4">
        <f t="shared" si="14"/>
        <v>0.80948962331891572</v>
      </c>
      <c r="I15" s="14">
        <f t="shared" si="4"/>
        <v>22.75668333331123</v>
      </c>
      <c r="J15" s="7">
        <f t="shared" si="5"/>
        <v>1.6666666666666666E-2</v>
      </c>
      <c r="K15" s="8">
        <f>1-EXP(-$AE$3*I15)</f>
        <v>0.22655533855257559</v>
      </c>
      <c r="L15" s="4">
        <f t="shared" si="6"/>
        <v>1.6592586247761326E-4</v>
      </c>
      <c r="M15" s="8">
        <f>G15/((1+K15))</f>
        <v>7.7045035824895498</v>
      </c>
      <c r="N15" s="4">
        <f t="shared" si="1"/>
        <v>0.65999403728463979</v>
      </c>
      <c r="O15" s="8">
        <f>M15*K15</f>
        <v>1.7454964175104515</v>
      </c>
      <c r="P15" s="4">
        <f t="shared" si="2"/>
        <v>0.14953063724613022</v>
      </c>
      <c r="Q15" s="8">
        <f t="shared" si="7"/>
        <v>9.4500000000000011</v>
      </c>
      <c r="R15" s="8">
        <v>0.8030999999999997</v>
      </c>
      <c r="S15" s="4">
        <v>1.4142135623730951E-4</v>
      </c>
      <c r="T15" s="8">
        <f>M15/R15</f>
        <v>9.5934548406045987</v>
      </c>
      <c r="U15" s="4">
        <f t="shared" si="8"/>
        <v>0.82180977680986711</v>
      </c>
      <c r="V15" s="8">
        <f>SUM($T$2:T15)</f>
        <v>1387.4475727378949</v>
      </c>
      <c r="W15" s="4">
        <f>SQRT((U15^2)+(U14^2)+(U13^2)+(U12^2)+(U11^2)+(U10^2)+(U9^2)+(U8^2)+(U7^2)+(U6^2)+(U5^2)+(U4^2)+(U3^2)+(U2^2))</f>
        <v>7.5894700982049459</v>
      </c>
      <c r="X15" s="8">
        <f t="shared" si="9"/>
        <v>0.12840839304149249</v>
      </c>
      <c r="Y15" s="4">
        <f t="shared" si="10"/>
        <v>1.0999900621410662E-2</v>
      </c>
      <c r="Z15" s="4">
        <f t="shared" si="11"/>
        <v>1.2099781368091067E-4</v>
      </c>
      <c r="AA15" s="8">
        <f>(C15-$AE$6)*24</f>
        <v>189.79999861103715</v>
      </c>
      <c r="AB15" s="15">
        <f t="shared" si="12"/>
        <v>0.9994786710502187</v>
      </c>
      <c r="AC15" s="8">
        <f t="shared" si="13"/>
        <v>0.12847537097171394</v>
      </c>
    </row>
    <row r="16" spans="1:31" x14ac:dyDescent="0.25">
      <c r="A16" s="29" t="s">
        <v>26</v>
      </c>
      <c r="B16" s="26">
        <v>43319.460276967591</v>
      </c>
      <c r="C16" s="11">
        <v>43320.431249942128</v>
      </c>
      <c r="D16" s="12">
        <v>13.2</v>
      </c>
      <c r="E16" s="13">
        <v>4.29</v>
      </c>
      <c r="F16" s="4">
        <f t="shared" si="3"/>
        <v>0.56628000000000001</v>
      </c>
      <c r="G16" s="8">
        <f t="shared" si="0"/>
        <v>5.7999999999999989</v>
      </c>
      <c r="H16" s="4">
        <f t="shared" si="14"/>
        <v>0.73763159243690202</v>
      </c>
      <c r="I16" s="14">
        <f t="shared" si="4"/>
        <v>23.303351388894953</v>
      </c>
      <c r="J16" s="7">
        <f t="shared" si="5"/>
        <v>1.6666666666666666E-2</v>
      </c>
      <c r="K16" s="8">
        <f>1-EXP(-$AE$3*I16)</f>
        <v>0.23131384463192384</v>
      </c>
      <c r="L16" s="4">
        <f t="shared" si="6"/>
        <v>1.6543675111480233E-4</v>
      </c>
      <c r="M16" s="8">
        <f>G16/((1+K16))</f>
        <v>4.7104156469009659</v>
      </c>
      <c r="N16" s="4">
        <f t="shared" si="1"/>
        <v>0.59907005801368673</v>
      </c>
      <c r="O16" s="8">
        <f>M16*K16</f>
        <v>1.089584353099033</v>
      </c>
      <c r="P16" s="4">
        <f t="shared" si="2"/>
        <v>0.13857538946125089</v>
      </c>
      <c r="Q16" s="8">
        <f t="shared" si="7"/>
        <v>5.7999999999999989</v>
      </c>
      <c r="R16" s="8">
        <v>0.82850000000000001</v>
      </c>
      <c r="S16" s="4">
        <v>1.4142135623730951E-4</v>
      </c>
      <c r="T16" s="8">
        <f>M16/R16</f>
        <v>5.6854745285467301</v>
      </c>
      <c r="U16" s="4">
        <f t="shared" si="8"/>
        <v>0.72307857283454124</v>
      </c>
      <c r="V16" s="8">
        <f>SUM($T$2:T16)</f>
        <v>1393.1330472664417</v>
      </c>
      <c r="W16" s="4">
        <f>SQRT((U16^2)+(U15^2)+(U14^2)+(U13^2)+(U12^2)+(U11^2)+(U10^2)+(U9^2)+(U8^2)+(U7^2)+(U6^2)+(U5^2)+(U4^2)+(U3^2)+(U2^2))</f>
        <v>7.6238375503442768</v>
      </c>
      <c r="X16" s="8">
        <f t="shared" si="9"/>
        <v>7.8506927448349431E-2</v>
      </c>
      <c r="Y16" s="4">
        <f t="shared" si="10"/>
        <v>9.9845009668947781E-3</v>
      </c>
      <c r="Z16" s="4">
        <f t="shared" si="11"/>
        <v>9.9690259557922765E-5</v>
      </c>
      <c r="AA16" s="8">
        <f>(C16-$AE$6)*24</f>
        <v>190.34999861108372</v>
      </c>
      <c r="AB16" s="15">
        <f t="shared" si="12"/>
        <v>0.99947716074487436</v>
      </c>
      <c r="AC16" s="8">
        <f t="shared" si="13"/>
        <v>7.8547995423768405E-2</v>
      </c>
    </row>
    <row r="17" spans="1:29" x14ac:dyDescent="0.25">
      <c r="A17" s="29" t="s">
        <v>27</v>
      </c>
      <c r="B17" s="26">
        <v>43319.46041579861</v>
      </c>
      <c r="C17" s="11">
        <v>43320.454166608797</v>
      </c>
      <c r="D17" s="12">
        <v>10.67</v>
      </c>
      <c r="E17" s="13">
        <v>4.43</v>
      </c>
      <c r="F17" s="4">
        <f t="shared" si="3"/>
        <v>0.47268099999999996</v>
      </c>
      <c r="G17" s="8">
        <f t="shared" si="0"/>
        <v>3.2699999999999996</v>
      </c>
      <c r="H17" s="4">
        <f t="shared" si="14"/>
        <v>0.6684718808760769</v>
      </c>
      <c r="I17" s="14">
        <f>(C17-B17)*24</f>
        <v>23.850019444478676</v>
      </c>
      <c r="J17" s="7">
        <f t="shared" si="5"/>
        <v>1.6666666666666666E-2</v>
      </c>
      <c r="K17" s="8">
        <f>1-EXP(-$AE$3*I17)</f>
        <v>0.23604307469291441</v>
      </c>
      <c r="L17" s="4">
        <f t="shared" si="6"/>
        <v>1.6494960325043456E-4</v>
      </c>
      <c r="M17" s="8">
        <f>G17/((1+K17))</f>
        <v>2.6455388707326453</v>
      </c>
      <c r="N17" s="4">
        <f t="shared" si="1"/>
        <v>0.54081916745684611</v>
      </c>
      <c r="O17" s="8">
        <f>M17*K17</f>
        <v>0.6244611292673542</v>
      </c>
      <c r="P17" s="4">
        <f t="shared" si="2"/>
        <v>0.12765736499752975</v>
      </c>
      <c r="Q17" s="8">
        <f t="shared" si="7"/>
        <v>3.2699999999999996</v>
      </c>
      <c r="R17" s="8">
        <v>0.80900000000000016</v>
      </c>
      <c r="S17" s="4">
        <v>1.4142135623731E-4</v>
      </c>
      <c r="T17" s="8">
        <f>M17/R17</f>
        <v>3.2701345744532073</v>
      </c>
      <c r="U17" s="4">
        <f t="shared" si="8"/>
        <v>0.66850354164378112</v>
      </c>
      <c r="V17" s="8">
        <f>SUM($T$2:T17)</f>
        <v>1396.4031818408948</v>
      </c>
      <c r="W17" s="4">
        <f>SQRT((U17^2)+(U16^2)+(U15^2)+(U14^2)+(U13^2)+(U12^2)+(U11^2)+(U10^2)+(U9^2)+(U8^2)+(U7^2)+(U6^2)+(U5^2)+(U4^2)+(U3^2)+(U2^2))</f>
        <v>7.6530906161647989</v>
      </c>
      <c r="X17" s="8">
        <f t="shared" si="9"/>
        <v>4.4092314512210753E-2</v>
      </c>
      <c r="Y17" s="4">
        <f>X17*SQRT(((N17/M17)^2))</f>
        <v>9.0136527909474348E-3</v>
      </c>
      <c r="Z17" s="4">
        <f>Y17^2</f>
        <v>8.1245936635754483E-5</v>
      </c>
      <c r="AA17" s="8">
        <f>(C17-$AE$6)*24</f>
        <v>190.89999861113029</v>
      </c>
      <c r="AB17" s="15">
        <f t="shared" si="12"/>
        <v>0.99947565044181219</v>
      </c>
      <c r="AC17" s="8">
        <f t="shared" si="13"/>
        <v>4.4115446427054041E-2</v>
      </c>
    </row>
    <row r="18" spans="1:29" x14ac:dyDescent="0.25">
      <c r="A18" s="29" t="s">
        <v>28</v>
      </c>
      <c r="B18" s="26">
        <v>43319.46055462963</v>
      </c>
      <c r="C18" s="11">
        <v>43320.477083275466</v>
      </c>
      <c r="D18" s="12">
        <v>9.82</v>
      </c>
      <c r="E18" s="13">
        <v>5.19</v>
      </c>
      <c r="F18" s="4">
        <f>D18*(E18/100)</f>
        <v>0.50965800000000006</v>
      </c>
      <c r="G18" s="8">
        <f t="shared" si="0"/>
        <v>2.42</v>
      </c>
      <c r="H18" s="4">
        <f>SQRT((F18^2)+(F$17^2))</f>
        <v>0.69511049821233462</v>
      </c>
      <c r="I18" s="14">
        <f t="shared" si="4"/>
        <v>24.396687500062399</v>
      </c>
      <c r="J18" s="7">
        <f t="shared" si="5"/>
        <v>1.6666666666666666E-2</v>
      </c>
      <c r="K18" s="8">
        <f>1-EXP(-$AE$3*I18)</f>
        <v>0.24074320885200329</v>
      </c>
      <c r="L18" s="4">
        <f t="shared" si="6"/>
        <v>1.6446440994048034E-4</v>
      </c>
      <c r="M18" s="8">
        <f>G18/((1+K18))</f>
        <v>1.9504438813242451</v>
      </c>
      <c r="N18" s="4">
        <f t="shared" si="1"/>
        <v>0.56023878208356148</v>
      </c>
      <c r="O18" s="8">
        <f>M18*K18</f>
        <v>0.46955611867575464</v>
      </c>
      <c r="P18" s="4">
        <f t="shared" si="2"/>
        <v>0.13487406358560641</v>
      </c>
      <c r="Q18" s="8">
        <f t="shared" si="7"/>
        <v>2.42</v>
      </c>
      <c r="R18" s="8">
        <v>0.82690000000000019</v>
      </c>
      <c r="S18" s="4">
        <v>1.4142135623731E-4</v>
      </c>
      <c r="T18" s="8">
        <f>M18/R18</f>
        <v>2.3587421469636531</v>
      </c>
      <c r="U18" s="4">
        <f t="shared" si="8"/>
        <v>0.6775170896025634</v>
      </c>
      <c r="V18" s="8">
        <f>SUM($T$2:T18)</f>
        <v>1398.7619239878584</v>
      </c>
      <c r="W18" s="4">
        <f>SQRT((U18^2)+(U17^2)+(U16^2)+(U15^2)+(U14^2)+(U13^2)+(U12^2)+(U11^2)+(U10^2)+(U9^2)+(U8^2)+(U7^2)+(U6^2)+(U5^2)+(U4^2)+(U3^2)+(U2^2))</f>
        <v>7.6830218915432775</v>
      </c>
      <c r="X18" s="8">
        <f t="shared" si="9"/>
        <v>3.2507398022070748E-2</v>
      </c>
      <c r="Y18" s="4">
        <f t="shared" ref="Y18:Y22" si="15">X18*SQRT(((N18/M18)^2))</f>
        <v>9.3373130347260223E-3</v>
      </c>
      <c r="Z18" s="4">
        <f t="shared" ref="Z18:Z22" si="16">Y18^2</f>
        <v>8.7185414708464482E-5</v>
      </c>
      <c r="AA18" s="8">
        <f>(C18-$AE$6)*24</f>
        <v>191.44999861117685</v>
      </c>
      <c r="AB18" s="15">
        <f t="shared" si="12"/>
        <v>0.9994741401410322</v>
      </c>
      <c r="AC18" s="8">
        <f t="shared" si="13"/>
        <v>3.2524501351764587E-2</v>
      </c>
    </row>
    <row r="19" spans="1:29" x14ac:dyDescent="0.25">
      <c r="A19" s="29" t="s">
        <v>29</v>
      </c>
      <c r="B19" s="26">
        <v>43319.460693460649</v>
      </c>
      <c r="C19" s="11">
        <v>43320.499999942127</v>
      </c>
      <c r="D19" s="12">
        <v>9</v>
      </c>
      <c r="E19" s="13">
        <v>5.23</v>
      </c>
      <c r="F19" s="4">
        <f t="shared" si="3"/>
        <v>0.47070000000000006</v>
      </c>
      <c r="G19" s="8">
        <f t="shared" si="0"/>
        <v>1.5999999999999996</v>
      </c>
      <c r="H19" s="4">
        <f>SQRT((F19^2)+(F$17^2))</f>
        <v>0.66707257308406853</v>
      </c>
      <c r="I19" s="14">
        <f t="shared" si="4"/>
        <v>24.943355555471499</v>
      </c>
      <c r="J19" s="7">
        <f t="shared" si="5"/>
        <v>1.6666666666666666E-2</v>
      </c>
      <c r="K19" s="8">
        <f>1-EXP(-$AE$3*I19)</f>
        <v>0.2454144261160186</v>
      </c>
      <c r="L19" s="4">
        <f t="shared" si="6"/>
        <v>1.639811622847093E-4</v>
      </c>
      <c r="M19" s="8">
        <f>G19/((1+K19))</f>
        <v>1.284712916799752</v>
      </c>
      <c r="N19" s="4">
        <f t="shared" si="1"/>
        <v>0.53562365730394546</v>
      </c>
      <c r="O19" s="8">
        <f>M19*K19</f>
        <v>0.31528708320024751</v>
      </c>
      <c r="P19" s="4">
        <f t="shared" si="2"/>
        <v>0.13144994128600482</v>
      </c>
      <c r="Q19" s="8">
        <f t="shared" si="7"/>
        <v>1.5999999999999994</v>
      </c>
      <c r="R19" s="8">
        <v>0.82570000000000032</v>
      </c>
      <c r="S19" s="4">
        <v>1.4142135623731E-4</v>
      </c>
      <c r="T19" s="8">
        <f>M19/R19</f>
        <v>1.5559076139030537</v>
      </c>
      <c r="U19" s="4">
        <f t="shared" si="8"/>
        <v>0.64869044750001392</v>
      </c>
      <c r="V19" s="8">
        <f>SUM($T$2:T19)</f>
        <v>1400.3178316017613</v>
      </c>
      <c r="W19" s="4">
        <f>SQRT((U19^2)+(U18^2)+(U17^2)+(U16^2)+(U15^2)+(U14^2)+(U13^2)+(U12^2)+(U11^2)+(U10^2)+(U9^2)+(U8^2)+(U7^2)+(U6^2)+(U5^2)+(U4^2)+(U3^2)+(U2^2))</f>
        <v>7.7103582720007893</v>
      </c>
      <c r="X19" s="8">
        <f t="shared" si="9"/>
        <v>2.1411881946662534E-2</v>
      </c>
      <c r="Y19" s="4">
        <f t="shared" si="15"/>
        <v>8.9270609550657579E-3</v>
      </c>
      <c r="Z19" s="4">
        <f t="shared" si="16"/>
        <v>7.9692417295459562E-5</v>
      </c>
      <c r="AA19" s="8">
        <f>(C19-$AE$6)*24</f>
        <v>191.9999986110488</v>
      </c>
      <c r="AB19" s="15">
        <f t="shared" si="12"/>
        <v>0.99947262984253493</v>
      </c>
      <c r="AC19" s="8">
        <f t="shared" si="13"/>
        <v>2.1423179892415798E-2</v>
      </c>
    </row>
    <row r="20" spans="1:29" x14ac:dyDescent="0.25">
      <c r="A20" s="29" t="s">
        <v>30</v>
      </c>
      <c r="B20" s="26">
        <v>43319.460832291668</v>
      </c>
      <c r="C20" s="11">
        <v>43320.522916608796</v>
      </c>
      <c r="D20" s="12">
        <v>9.07</v>
      </c>
      <c r="E20" s="13">
        <v>5.47</v>
      </c>
      <c r="F20" s="4">
        <f t="shared" si="3"/>
        <v>0.49612899999999999</v>
      </c>
      <c r="G20" s="8">
        <f t="shared" si="0"/>
        <v>1.67</v>
      </c>
      <c r="H20" s="4">
        <f t="shared" ref="H20:H22" si="17">SQRT((F20^2)+(F$17^2))</f>
        <v>0.68525273615068472</v>
      </c>
      <c r="I20" s="14">
        <f t="shared" si="4"/>
        <v>25.490023611055221</v>
      </c>
      <c r="J20" s="7">
        <f t="shared" si="5"/>
        <v>1.6666666666666666E-2</v>
      </c>
      <c r="K20" s="8">
        <f>1-EXP(-$AE$3*I20)</f>
        <v>0.25005690439493755</v>
      </c>
      <c r="L20" s="4">
        <f t="shared" si="6"/>
        <v>1.6349985142585086E-4</v>
      </c>
      <c r="M20" s="8">
        <f>G20/((1+K20))</f>
        <v>1.3359391833512786</v>
      </c>
      <c r="N20" s="4">
        <f t="shared" si="1"/>
        <v>0.54817792991724723</v>
      </c>
      <c r="O20" s="8">
        <f>M20*K20</f>
        <v>0.33406081664872161</v>
      </c>
      <c r="P20" s="4">
        <f t="shared" si="2"/>
        <v>0.13707585024005192</v>
      </c>
      <c r="Q20" s="8">
        <f t="shared" si="7"/>
        <v>1.6700000000000002</v>
      </c>
      <c r="R20" s="8">
        <v>0.76100000000000012</v>
      </c>
      <c r="S20" s="4">
        <v>1.4142135623731E-4</v>
      </c>
      <c r="T20" s="8">
        <f>M20/R20</f>
        <v>1.7555048401462265</v>
      </c>
      <c r="U20" s="4">
        <f t="shared" si="8"/>
        <v>0.72033900937735418</v>
      </c>
      <c r="V20" s="8">
        <f>SUM($T$2:T20)</f>
        <v>1402.0733364419075</v>
      </c>
      <c r="W20" s="4">
        <f>SQRT((U20^2)+(U19^2)+(U18^2)+(U17^2)+(U16^2)+(U15^2)+(U14^2)+(U13^2)+(U12^2)+(U11^2)+(U10^2)+(U9^2)+(U8^2)+(U7^2)+(U6^2)+(U5^2)+(U4^2)+(U3^2)+(U2^2))</f>
        <v>7.7439339467122101</v>
      </c>
      <c r="X20" s="8">
        <f t="shared" si="9"/>
        <v>2.2265653055854644E-2</v>
      </c>
      <c r="Y20" s="4">
        <f t="shared" si="15"/>
        <v>9.1362988319541212E-3</v>
      </c>
      <c r="Z20" s="4">
        <f t="shared" si="16"/>
        <v>8.3471956346766238E-5</v>
      </c>
      <c r="AA20" s="8">
        <f>(C20-$AE$6)*24</f>
        <v>192.54999861109536</v>
      </c>
      <c r="AB20" s="15">
        <f t="shared" si="12"/>
        <v>0.9994711195463194</v>
      </c>
      <c r="AC20" s="8">
        <f t="shared" si="13"/>
        <v>2.2277435155866717E-2</v>
      </c>
    </row>
    <row r="21" spans="1:29" x14ac:dyDescent="0.25">
      <c r="A21" s="29" t="s">
        <v>31</v>
      </c>
      <c r="B21" s="26">
        <v>43319.460971122688</v>
      </c>
      <c r="C21" s="11">
        <v>43320.545833275464</v>
      </c>
      <c r="D21" s="12">
        <v>9.3800000000000008</v>
      </c>
      <c r="E21" s="13">
        <v>5.57</v>
      </c>
      <c r="F21" s="4">
        <f t="shared" si="3"/>
        <v>0.52246599999999999</v>
      </c>
      <c r="G21" s="8">
        <f t="shared" si="0"/>
        <v>1.9800000000000004</v>
      </c>
      <c r="H21" s="4">
        <f t="shared" si="17"/>
        <v>0.70455521353333261</v>
      </c>
      <c r="I21" s="14">
        <f t="shared" si="4"/>
        <v>26.036691666638944</v>
      </c>
      <c r="J21" s="7">
        <f t="shared" si="5"/>
        <v>1.6666666666666666E-2</v>
      </c>
      <c r="K21" s="8">
        <f>1-EXP(-$AE$3*I21)</f>
        <v>0.25467082049970913</v>
      </c>
      <c r="L21" s="4">
        <f t="shared" si="6"/>
        <v>1.6302046855029922E-4</v>
      </c>
      <c r="M21" s="8">
        <f>G21/((1+K21))</f>
        <v>1.5781031706877571</v>
      </c>
      <c r="N21" s="4">
        <f t="shared" si="1"/>
        <v>0.5615467754869754</v>
      </c>
      <c r="O21" s="8">
        <f>M21*K21</f>
        <v>0.40189682931224363</v>
      </c>
      <c r="P21" s="4">
        <f t="shared" si="2"/>
        <v>0.14300980946022632</v>
      </c>
      <c r="Q21" s="8">
        <f t="shared" si="7"/>
        <v>1.9800000000000006</v>
      </c>
      <c r="R21" s="8">
        <v>1.0965000000000007</v>
      </c>
      <c r="S21" s="4">
        <v>1.4142135623731E-4</v>
      </c>
      <c r="T21" s="8">
        <f>M21/R21</f>
        <v>1.4392185779186102</v>
      </c>
      <c r="U21" s="4">
        <f t="shared" si="8"/>
        <v>0.51212659587185094</v>
      </c>
      <c r="V21" s="8">
        <f>SUM($T$2:T21)</f>
        <v>1403.5125550198261</v>
      </c>
      <c r="W21" s="4">
        <f>SQRT((U21^2)+(U20^2)+(U19^2)+(U18^2)+(U17^2)+(U16^2)+(U15^2)+(U14^2)+(U13^2)+(U12^2)+(U11^2)+(U10^2)+(U9^2)+(U8^2)+(U7^2)+(U6^2)+(U5^2)+(U4^2)+(U3^2)+(U2^2))</f>
        <v>7.7608496069206909</v>
      </c>
      <c r="X21" s="8">
        <f t="shared" si="9"/>
        <v>2.6301719511462616E-2</v>
      </c>
      <c r="Y21" s="4">
        <f t="shared" si="15"/>
        <v>9.3591129247829231E-3</v>
      </c>
      <c r="Z21" s="4">
        <f t="shared" si="16"/>
        <v>8.7592994738838756E-5</v>
      </c>
      <c r="AA21" s="8">
        <f>(C21-$AE$6)*24</f>
        <v>193.09999861114193</v>
      </c>
      <c r="AB21" s="15">
        <f t="shared" si="12"/>
        <v>0.99946960925238604</v>
      </c>
      <c r="AC21" s="8">
        <f t="shared" si="13"/>
        <v>2.6315677103115307E-2</v>
      </c>
    </row>
    <row r="22" spans="1:29" ht="15.75" thickBot="1" x14ac:dyDescent="0.3">
      <c r="A22" s="30" t="s">
        <v>11</v>
      </c>
      <c r="B22" s="26">
        <v>43319.461109953707</v>
      </c>
      <c r="C22" s="11">
        <v>43320.568749942133</v>
      </c>
      <c r="D22" s="12">
        <v>7.4</v>
      </c>
      <c r="E22" s="13">
        <v>6.52</v>
      </c>
      <c r="F22" s="4">
        <f t="shared" si="3"/>
        <v>0.48247999999999996</v>
      </c>
      <c r="G22" s="8">
        <f t="shared" si="0"/>
        <v>0</v>
      </c>
      <c r="H22" s="4">
        <f t="shared" si="17"/>
        <v>0.67543636129616236</v>
      </c>
      <c r="I22" s="14">
        <f>(C22-B22)*24</f>
        <v>26.583359722222667</v>
      </c>
      <c r="J22" s="7">
        <f t="shared" si="5"/>
        <v>1.6666666666666666E-2</v>
      </c>
      <c r="K22" s="8">
        <f>1-EXP(-$AE$3*I22)</f>
        <v>0.25925635015496673</v>
      </c>
      <c r="L22" s="4">
        <f t="shared" si="6"/>
        <v>1.6254300488727563E-4</v>
      </c>
      <c r="M22" s="8">
        <f>G22/((1+K22))</f>
        <v>0</v>
      </c>
      <c r="N22" s="4" t="e">
        <f t="shared" si="1"/>
        <v>#DIV/0!</v>
      </c>
      <c r="O22" s="8">
        <f>M22*K22</f>
        <v>0</v>
      </c>
      <c r="P22" s="4" t="e">
        <f t="shared" si="2"/>
        <v>#DIV/0!</v>
      </c>
      <c r="Q22" s="8">
        <f t="shared" si="7"/>
        <v>0</v>
      </c>
      <c r="R22" s="8"/>
      <c r="S22" s="4">
        <v>1.4142135623731E-4</v>
      </c>
      <c r="T22" s="8"/>
      <c r="U22" s="4" t="e">
        <f t="shared" si="8"/>
        <v>#DIV/0!</v>
      </c>
      <c r="V22" s="8"/>
      <c r="W22" s="8"/>
      <c r="X22" s="8"/>
      <c r="Y22" s="4" t="e">
        <f t="shared" si="15"/>
        <v>#DIV/0!</v>
      </c>
      <c r="Z22" s="4" t="e">
        <f t="shared" si="16"/>
        <v>#DIV/0!</v>
      </c>
      <c r="AA22" s="8"/>
      <c r="AB22" s="8"/>
      <c r="AC22" s="8"/>
    </row>
    <row r="23" spans="1:29" x14ac:dyDescent="0.25">
      <c r="Y23" s="9" t="s">
        <v>53</v>
      </c>
    </row>
    <row r="24" spans="1:29" x14ac:dyDescent="0.25">
      <c r="W24" s="5" t="s">
        <v>54</v>
      </c>
      <c r="X24" s="10">
        <f>SUM(X2:X21)</f>
        <v>18.997739025746831</v>
      </c>
      <c r="Y24" s="5">
        <f>SQRT(SUM(Z2:Z21))</f>
        <v>0.10535804514754459</v>
      </c>
      <c r="AC24">
        <f>SUM(AC2:AC21)</f>
        <v>19.007462405273682</v>
      </c>
    </row>
    <row r="27" spans="1:29" x14ac:dyDescent="0.25">
      <c r="G2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CT22E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2021-06-16T15:40:55Z</dcterms:modified>
</cp:coreProperties>
</file>